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reygadas\Desktop\"/>
    </mc:Choice>
  </mc:AlternateContent>
  <bookViews>
    <workbookView xWindow="0" yWindow="0" windowWidth="20490" windowHeight="7755" activeTab="1"/>
  </bookViews>
  <sheets>
    <sheet name="Calculo AV, equip. obligatoria" sheetId="1" r:id="rId1"/>
    <sheet name="Proporción Vialidad, AV,Equip" sheetId="2" r:id="rId2"/>
  </sheets>
  <definedNames>
    <definedName name="_xlnm.Print_Area" localSheetId="0">'Calculo AV, equip. obligatoria'!$A$2:$G$33</definedName>
    <definedName name="_xlnm.Print_Area" localSheetId="1">'Proporción Vialidad, AV,Equip'!$C$1:$I$71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1" i="2" l="1"/>
  <c r="M38" i="2"/>
  <c r="L41" i="2"/>
  <c r="K41" i="2"/>
  <c r="L38" i="2"/>
  <c r="K38" i="2"/>
  <c r="M30" i="2"/>
  <c r="M29" i="2"/>
  <c r="L5" i="2"/>
  <c r="H5" i="2"/>
  <c r="I31" i="2" s="1"/>
  <c r="F32" i="1"/>
  <c r="F31" i="1"/>
  <c r="J32" i="1"/>
  <c r="J31" i="1"/>
  <c r="C23" i="1"/>
  <c r="C20" i="1"/>
  <c r="C18" i="1"/>
  <c r="E5" i="1"/>
  <c r="E6" i="1"/>
  <c r="E7" i="1"/>
  <c r="E8" i="1"/>
  <c r="E9" i="1"/>
  <c r="E10" i="1"/>
  <c r="E11" i="1"/>
  <c r="E4" i="1"/>
  <c r="D12" i="1"/>
  <c r="E12" i="1" s="1"/>
  <c r="M9" i="2" l="1"/>
  <c r="M8" i="2"/>
  <c r="M14" i="2"/>
  <c r="M23" i="2"/>
  <c r="M21" i="2"/>
  <c r="M20" i="2"/>
  <c r="M19" i="2"/>
  <c r="M16" i="2"/>
  <c r="M15" i="2"/>
  <c r="L24" i="2"/>
  <c r="M24" i="2" s="1"/>
  <c r="L17" i="2"/>
  <c r="M17" i="2" s="1"/>
  <c r="L11" i="2"/>
  <c r="L12" i="2" s="1"/>
  <c r="C24" i="1" s="1"/>
  <c r="C25" i="1" s="1"/>
  <c r="G31" i="1" s="1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D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40" i="2" l="1"/>
  <c r="E33" i="2"/>
  <c r="M25" i="2"/>
  <c r="N25" i="2" s="1"/>
  <c r="G32" i="1"/>
  <c r="N21" i="2"/>
  <c r="N19" i="2"/>
  <c r="N8" i="2"/>
  <c r="N15" i="2"/>
  <c r="N20" i="2"/>
  <c r="N10" i="2"/>
  <c r="N17" i="2"/>
  <c r="N23" i="2"/>
  <c r="N14" i="2"/>
  <c r="N24" i="2"/>
  <c r="N9" i="2"/>
  <c r="N16" i="2"/>
  <c r="E47" i="2"/>
  <c r="E37" i="2"/>
  <c r="E36" i="2"/>
  <c r="E38" i="2"/>
  <c r="E39" i="2"/>
  <c r="I26" i="2" l="1"/>
  <c r="E41" i="2" l="1"/>
  <c r="E42" i="2"/>
  <c r="E43" i="2"/>
  <c r="E45" i="2"/>
  <c r="E46" i="2"/>
  <c r="I11" i="2"/>
  <c r="I10" i="2"/>
  <c r="I9" i="2"/>
  <c r="I8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L31" i="2"/>
  <c r="H32" i="1" l="1"/>
  <c r="H31" i="1"/>
  <c r="K31" i="1" s="1"/>
  <c r="E44" i="2"/>
  <c r="I27" i="2"/>
  <c r="I28" i="2" s="1"/>
  <c r="I31" i="1" l="1"/>
  <c r="K32" i="1"/>
</calcChain>
</file>

<file path=xl/sharedStrings.xml><?xml version="1.0" encoding="utf-8"?>
<sst xmlns="http://schemas.openxmlformats.org/spreadsheetml/2006/main" count="234" uniqueCount="186">
  <si>
    <t>EM2</t>
  </si>
  <si>
    <t>EM1</t>
  </si>
  <si>
    <t>AVCG 10</t>
  </si>
  <si>
    <t>AVCG 9</t>
  </si>
  <si>
    <t>AVCG 8</t>
  </si>
  <si>
    <t xml:space="preserve">Manquehue </t>
  </si>
  <si>
    <t>AVCG 7</t>
  </si>
  <si>
    <t>AVCG 6</t>
  </si>
  <si>
    <t>AVCG 28 ab</t>
  </si>
  <si>
    <t>AVCG 21</t>
  </si>
  <si>
    <t xml:space="preserve">AVCG 20 </t>
  </si>
  <si>
    <t>AVCG 18b (parte frente C3d)</t>
  </si>
  <si>
    <t>AVCG 24 (M7)</t>
  </si>
  <si>
    <t>AVCG 19 ab (frente M7)</t>
  </si>
  <si>
    <t>AVCG 18a (parte frente M7)</t>
  </si>
  <si>
    <t>SUBTOTAL RECEPCIONADAS</t>
  </si>
  <si>
    <t>AVCG 18b (parte frente C3b)</t>
  </si>
  <si>
    <t>AVCG 18a (parte frente M5)</t>
  </si>
  <si>
    <t>AVCG 27</t>
  </si>
  <si>
    <t>AVCG 26c</t>
  </si>
  <si>
    <t>AVCG  26b</t>
  </si>
  <si>
    <t>AVCG  26a</t>
  </si>
  <si>
    <t>AVCG 17</t>
  </si>
  <si>
    <t>AVCG 16</t>
  </si>
  <si>
    <t>AVCG 3-b</t>
  </si>
  <si>
    <t>AVCG 3-a</t>
  </si>
  <si>
    <t>AVCG 2</t>
  </si>
  <si>
    <t>AVCG 1-b</t>
  </si>
  <si>
    <t>AVCG 1-a</t>
  </si>
  <si>
    <t>EQUIP. MUNICIPAL</t>
  </si>
  <si>
    <t>AVCG5</t>
  </si>
  <si>
    <t xml:space="preserve">AREA VERDE </t>
  </si>
  <si>
    <t>AVCG4</t>
  </si>
  <si>
    <t>SUPERHABIT</t>
  </si>
  <si>
    <t>Superficie proyectada</t>
  </si>
  <si>
    <t>20% av. Recreativa</t>
  </si>
  <si>
    <t>SUP.CESIÓN M2</t>
  </si>
  <si>
    <t>SUP. NETA M2</t>
  </si>
  <si>
    <t>CESION %</t>
  </si>
  <si>
    <t>FACTOR %</t>
  </si>
  <si>
    <t>DENSIDAD BRUTA</t>
  </si>
  <si>
    <t>FACTOR</t>
  </si>
  <si>
    <t>DESTINO</t>
  </si>
  <si>
    <t>AVCG13</t>
  </si>
  <si>
    <t>AVCG27</t>
  </si>
  <si>
    <t>AVCG25</t>
  </si>
  <si>
    <t>AVCG23</t>
  </si>
  <si>
    <t>AVCG22</t>
  </si>
  <si>
    <t>AVCG15</t>
  </si>
  <si>
    <t>AVCG14</t>
  </si>
  <si>
    <t>AVCG12</t>
  </si>
  <si>
    <t>AVCG11</t>
  </si>
  <si>
    <t>m2</t>
  </si>
  <si>
    <t xml:space="preserve"> según loteo</t>
  </si>
  <si>
    <t>Proporcionalidad de entrega cesiones Áreas Verdes Loteo Hacienda El Peñón</t>
  </si>
  <si>
    <t>P1-f</t>
  </si>
  <si>
    <t>T3-d</t>
  </si>
  <si>
    <t>M9</t>
  </si>
  <si>
    <t>P2-a</t>
  </si>
  <si>
    <t>K3-b</t>
  </si>
  <si>
    <t>K3-a</t>
  </si>
  <si>
    <t>M8</t>
  </si>
  <si>
    <t>M4</t>
  </si>
  <si>
    <t>K5</t>
  </si>
  <si>
    <t>K4</t>
  </si>
  <si>
    <t>M3</t>
  </si>
  <si>
    <t>K1</t>
  </si>
  <si>
    <t>P2-d</t>
  </si>
  <si>
    <t>P2-e</t>
  </si>
  <si>
    <t>P2-c</t>
  </si>
  <si>
    <t>P2-b</t>
  </si>
  <si>
    <t>P1-a</t>
  </si>
  <si>
    <t>P1-c</t>
  </si>
  <si>
    <t>P1-d</t>
  </si>
  <si>
    <t>P3</t>
  </si>
  <si>
    <t xml:space="preserve">C3-d </t>
  </si>
  <si>
    <t>T1-b1</t>
  </si>
  <si>
    <t>T1-a</t>
  </si>
  <si>
    <t>T4</t>
  </si>
  <si>
    <t>P1-b</t>
  </si>
  <si>
    <t>P1-e</t>
  </si>
  <si>
    <t>T2</t>
  </si>
  <si>
    <t>M7</t>
  </si>
  <si>
    <t>T1-b2</t>
  </si>
  <si>
    <t>M5</t>
  </si>
  <si>
    <t>M10</t>
  </si>
  <si>
    <t>C3-b</t>
  </si>
  <si>
    <t>K2-c</t>
  </si>
  <si>
    <t>Q4-c</t>
  </si>
  <si>
    <t>T3-c</t>
  </si>
  <si>
    <t>T3-b</t>
  </si>
  <si>
    <t>T3-a</t>
  </si>
  <si>
    <t>Q5-b</t>
  </si>
  <si>
    <t>Q5-a</t>
  </si>
  <si>
    <t>Q4-b</t>
  </si>
  <si>
    <t>Q4-a</t>
  </si>
  <si>
    <t>Q3-c</t>
  </si>
  <si>
    <t>Q3-b</t>
  </si>
  <si>
    <t>Q3-a</t>
  </si>
  <si>
    <t>Q2-b</t>
  </si>
  <si>
    <t>Q2-a</t>
  </si>
  <si>
    <t>Q1</t>
  </si>
  <si>
    <t>C3-a</t>
  </si>
  <si>
    <t>lotes con RM</t>
  </si>
  <si>
    <t>según loteo</t>
  </si>
  <si>
    <t>TOTAL m2 lotes viviendas</t>
  </si>
  <si>
    <t>AVCG 18a  y 19ab parte (frente M6)</t>
  </si>
  <si>
    <t xml:space="preserve">Ejecutada </t>
  </si>
  <si>
    <t xml:space="preserve">Aconcagua </t>
  </si>
  <si>
    <t xml:space="preserve">Ceción de areas verdes </t>
  </si>
  <si>
    <t>Acumulado</t>
  </si>
  <si>
    <t>M6</t>
  </si>
  <si>
    <t>Proporcionalidad de entrega cesiones obligatorias, según norma , Áreas Verdes Loteo Hacienda El Peñón</t>
  </si>
  <si>
    <t xml:space="preserve">TOTAL m2 Vialidad </t>
  </si>
  <si>
    <t xml:space="preserve">Según loteo </t>
  </si>
  <si>
    <t>Vialidad</t>
  </si>
  <si>
    <t xml:space="preserve">Acumulado </t>
  </si>
  <si>
    <t xml:space="preserve">Avenida Diego Portales </t>
  </si>
  <si>
    <t>Avenida Central</t>
  </si>
  <si>
    <t xml:space="preserve">Avenida La Hacienda </t>
  </si>
  <si>
    <t>Calle Los Quillayes</t>
  </si>
  <si>
    <t>Calle El Parronal</t>
  </si>
  <si>
    <t>Calle Los Corraleros</t>
  </si>
  <si>
    <t>Calle Las Tejas</t>
  </si>
  <si>
    <t>Calle La Montura</t>
  </si>
  <si>
    <t>Pasaje La Montura Norte</t>
  </si>
  <si>
    <t>Pasaje La Montura Sur</t>
  </si>
  <si>
    <t>Calle La Fusta</t>
  </si>
  <si>
    <t>Calle La Collera</t>
  </si>
  <si>
    <t>Calle La Espuela</t>
  </si>
  <si>
    <t>m2 construidos</t>
  </si>
  <si>
    <t xml:space="preserve">Las cesiones de areas verdes y equipamiento estan calculadas por el 100% del terreno neto a pesar que existen zonas R1 que tienen restricción del desarrollo </t>
  </si>
  <si>
    <t>lotes en zona R1</t>
  </si>
  <si>
    <t>EQ1</t>
  </si>
  <si>
    <t>EQ2</t>
  </si>
  <si>
    <t>EQ3</t>
  </si>
  <si>
    <t xml:space="preserve">CESIONES OBLIGATORIAS </t>
  </si>
  <si>
    <t>RESUMEN SUPERFICIES DEL PROYECTO DE LOTEO Y PORCENTAJES</t>
  </si>
  <si>
    <t xml:space="preserve">AREA </t>
  </si>
  <si>
    <t>CANTIDAD</t>
  </si>
  <si>
    <t>M2</t>
  </si>
  <si>
    <t>HECTAREAS</t>
  </si>
  <si>
    <t>SUPERFICIES</t>
  </si>
  <si>
    <t>49 lotes</t>
  </si>
  <si>
    <t>3 lotes</t>
  </si>
  <si>
    <t>Lotes EPC</t>
  </si>
  <si>
    <t xml:space="preserve">1 lote </t>
  </si>
  <si>
    <t>Lotes EQ (zona R1)</t>
  </si>
  <si>
    <t>Lotes (zona H5 y R2)</t>
  </si>
  <si>
    <t>Lotes cesión equipamiento</t>
  </si>
  <si>
    <t>2 lotes</t>
  </si>
  <si>
    <t xml:space="preserve">Vialidad publica  </t>
  </si>
  <si>
    <t>15 vias</t>
  </si>
  <si>
    <t>Areas verdes</t>
  </si>
  <si>
    <t>32 areas</t>
  </si>
  <si>
    <t>Cauces Hidraulicos</t>
  </si>
  <si>
    <t>7 areas</t>
  </si>
  <si>
    <t>Embalses de retención</t>
  </si>
  <si>
    <t>6 areas</t>
  </si>
  <si>
    <t xml:space="preserve">TOTAL SUPERFICIE DE TERRENO </t>
  </si>
  <si>
    <t xml:space="preserve">CALCULO DE CESIONES </t>
  </si>
  <si>
    <t>DESCRIPCIÓN</t>
  </si>
  <si>
    <t>SUPERFICIE M2</t>
  </si>
  <si>
    <t xml:space="preserve">Superficie Total </t>
  </si>
  <si>
    <t xml:space="preserve">zona reserva ecologica </t>
  </si>
  <si>
    <t>Total superficie bruta urbana</t>
  </si>
  <si>
    <t>SUPERFICIE BRUTA PARA CALCULO CESIONES OBLIGATORIAS</t>
  </si>
  <si>
    <t>SUPERFICIE NETA PARA CALCULO CESIONES OBLIGATORIAS</t>
  </si>
  <si>
    <t>Superficie bruta urbana</t>
  </si>
  <si>
    <t>superficie vialidad Plan regulador</t>
  </si>
  <si>
    <t>total superficie neta para calculo de cesiones</t>
  </si>
  <si>
    <t xml:space="preserve">Lotes futuros </t>
  </si>
  <si>
    <t xml:space="preserve">Total vialidad Plan Regulados </t>
  </si>
  <si>
    <t xml:space="preserve">TOTAL RECEPCIONADO </t>
  </si>
  <si>
    <t xml:space="preserve"> SUBTOTAL TOTAL RECEPCIONADO</t>
  </si>
  <si>
    <t>EQUIPAMIENTO MUNICIPAL</t>
  </si>
  <si>
    <t>solo el 71% de esta área es posible el desarrollo inmobiliario.</t>
  </si>
  <si>
    <t>RESUMEN DE CUMPLIMIENTO</t>
  </si>
  <si>
    <t xml:space="preserve">LOTES </t>
  </si>
  <si>
    <t>AREAS VERDES</t>
  </si>
  <si>
    <t>VIALIDAD</t>
  </si>
  <si>
    <t>LOTES</t>
  </si>
  <si>
    <t>Calle La Media Luna</t>
  </si>
  <si>
    <t>Avenida Camino San José</t>
  </si>
  <si>
    <t>Areas Verdes futuras</t>
  </si>
  <si>
    <t>TOTAL m2 cesión 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</si>
</sst>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 * #,##0_ ;_ * \-#,##0_ ;_ * &quot;-&quot;_ ;_ @_ "/>
    <numFmt numFmtId="43" formatCode="_ * #,##0.00_ ;_ * \-#,##0.00_ ;_ * &quot;-&quot;??_ ;_ @_ "/>
    <numFmt numFmtId="164" formatCode="_ * #,##0.00_ ;_ * \-#,##0.00_ ;_ * &quot;-&quot;_ ;_ @_ "/>
    <numFmt numFmtId="165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5">
    <xf numFmtId="0" fontId="0" fillId="0" borderId="0" xfId="0"/>
    <xf numFmtId="0" fontId="0" fillId="0" borderId="0" xfId="0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3" fontId="0" fillId="0" borderId="1" xfId="0" applyNumberForma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165" fontId="3" fillId="0" borderId="0" xfId="2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9" fontId="0" fillId="0" borderId="0" xfId="0" applyNumberFormat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165" fontId="3" fillId="0" borderId="0" xfId="2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3" fillId="0" borderId="2" xfId="2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43" fontId="2" fillId="0" borderId="1" xfId="0" applyNumberFormat="1" applyFont="1" applyBorder="1" applyAlignment="1">
      <alignment horizontal="center" vertical="center"/>
    </xf>
    <xf numFmtId="165" fontId="4" fillId="0" borderId="1" xfId="2" applyNumberFormat="1" applyFont="1" applyBorder="1" applyAlignment="1">
      <alignment horizontal="center" vertical="center"/>
    </xf>
    <xf numFmtId="165" fontId="3" fillId="0" borderId="1" xfId="2" applyNumberFormat="1" applyFont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/>
    </xf>
    <xf numFmtId="165" fontId="6" fillId="0" borderId="1" xfId="2" applyNumberFormat="1" applyFont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165" fontId="6" fillId="0" borderId="1" xfId="2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left" vertical="center"/>
    </xf>
    <xf numFmtId="165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9" fontId="0" fillId="0" borderId="0" xfId="2" applyFont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2" fillId="3" borderId="0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</cellXfs>
  <cellStyles count="3">
    <cellStyle name="Millares [0]" xfId="1" builtinId="6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zoomScale="85" zoomScaleNormal="85" workbookViewId="0">
      <selection activeCell="I21" sqref="I21"/>
    </sheetView>
  </sheetViews>
  <sheetFormatPr baseColWidth="10" defaultRowHeight="15" outlineLevelRow="1" x14ac:dyDescent="0.25"/>
  <cols>
    <col min="1" max="1" width="2.85546875" style="1" customWidth="1"/>
    <col min="2" max="2" width="32.5703125" style="3" customWidth="1"/>
    <col min="3" max="3" width="15" style="1" customWidth="1"/>
    <col min="4" max="4" width="12.7109375" style="1" customWidth="1"/>
    <col min="5" max="5" width="24.85546875" style="1" customWidth="1"/>
    <col min="6" max="6" width="11.7109375" style="1" bestFit="1" customWidth="1"/>
    <col min="7" max="7" width="14.42578125" style="1" customWidth="1"/>
    <col min="8" max="8" width="11.7109375" style="1" bestFit="1" customWidth="1"/>
    <col min="9" max="9" width="11.42578125" style="1"/>
    <col min="10" max="10" width="11.7109375" style="1" bestFit="1" customWidth="1"/>
    <col min="11" max="16384" width="11.42578125" style="1"/>
  </cols>
  <sheetData>
    <row r="1" spans="2:7" s="48" customFormat="1" ht="21" customHeight="1" x14ac:dyDescent="0.25">
      <c r="B1" s="67" t="s">
        <v>137</v>
      </c>
      <c r="C1" s="55"/>
      <c r="D1" s="55"/>
      <c r="E1" s="55"/>
      <c r="F1" s="53"/>
      <c r="G1" s="53"/>
    </row>
    <row r="2" spans="2:7" x14ac:dyDescent="0.25">
      <c r="D2" s="75" t="s">
        <v>142</v>
      </c>
      <c r="E2" s="75"/>
    </row>
    <row r="3" spans="2:7" x14ac:dyDescent="0.25">
      <c r="B3" s="68" t="s">
        <v>138</v>
      </c>
      <c r="C3" s="13" t="s">
        <v>139</v>
      </c>
      <c r="D3" s="13" t="s">
        <v>140</v>
      </c>
      <c r="E3" s="13" t="s">
        <v>141</v>
      </c>
    </row>
    <row r="4" spans="2:7" x14ac:dyDescent="0.25">
      <c r="B4" s="68" t="s">
        <v>148</v>
      </c>
      <c r="C4" s="13" t="s">
        <v>143</v>
      </c>
      <c r="D4" s="2">
        <v>1255010.8</v>
      </c>
      <c r="E4" s="51">
        <f>D4/10000</f>
        <v>125.50108</v>
      </c>
    </row>
    <row r="5" spans="2:7" x14ac:dyDescent="0.25">
      <c r="B5" s="68" t="s">
        <v>147</v>
      </c>
      <c r="C5" s="13" t="s">
        <v>144</v>
      </c>
      <c r="D5" s="2">
        <v>511743.04</v>
      </c>
      <c r="E5" s="51">
        <f t="shared" ref="E5:E12" si="0">D5/10000</f>
        <v>51.174303999999999</v>
      </c>
    </row>
    <row r="6" spans="2:7" x14ac:dyDescent="0.25">
      <c r="B6" s="68" t="s">
        <v>145</v>
      </c>
      <c r="C6" s="13" t="s">
        <v>146</v>
      </c>
      <c r="D6" s="2">
        <v>2675890.73</v>
      </c>
      <c r="E6" s="51">
        <f t="shared" si="0"/>
        <v>267.58907299999998</v>
      </c>
    </row>
    <row r="7" spans="2:7" x14ac:dyDescent="0.25">
      <c r="B7" s="68" t="s">
        <v>149</v>
      </c>
      <c r="C7" s="13" t="s">
        <v>150</v>
      </c>
      <c r="D7" s="2">
        <v>45088.47</v>
      </c>
      <c r="E7" s="51">
        <f t="shared" si="0"/>
        <v>4.5088470000000003</v>
      </c>
    </row>
    <row r="8" spans="2:7" x14ac:dyDescent="0.25">
      <c r="B8" s="68" t="s">
        <v>151</v>
      </c>
      <c r="C8" s="13" t="s">
        <v>152</v>
      </c>
      <c r="D8" s="2">
        <v>330116.56</v>
      </c>
      <c r="E8" s="51">
        <f t="shared" si="0"/>
        <v>33.011656000000002</v>
      </c>
    </row>
    <row r="9" spans="2:7" x14ac:dyDescent="0.25">
      <c r="B9" s="68" t="s">
        <v>153</v>
      </c>
      <c r="C9" s="13" t="s">
        <v>154</v>
      </c>
      <c r="D9" s="2">
        <v>171519.45</v>
      </c>
      <c r="E9" s="51">
        <f t="shared" si="0"/>
        <v>17.151945000000001</v>
      </c>
    </row>
    <row r="10" spans="2:7" x14ac:dyDescent="0.25">
      <c r="B10" s="68" t="s">
        <v>155</v>
      </c>
      <c r="C10" s="13" t="s">
        <v>156</v>
      </c>
      <c r="D10" s="2">
        <v>29920.41</v>
      </c>
      <c r="E10" s="51">
        <f t="shared" si="0"/>
        <v>2.992041</v>
      </c>
    </row>
    <row r="11" spans="2:7" x14ac:dyDescent="0.25">
      <c r="B11" s="68" t="s">
        <v>157</v>
      </c>
      <c r="C11" s="13" t="s">
        <v>158</v>
      </c>
      <c r="D11" s="2">
        <v>5504.44</v>
      </c>
      <c r="E11" s="51">
        <f t="shared" si="0"/>
        <v>0.55044399999999993</v>
      </c>
    </row>
    <row r="12" spans="2:7" x14ac:dyDescent="0.25">
      <c r="B12" s="22" t="s">
        <v>159</v>
      </c>
      <c r="C12" s="10"/>
      <c r="D12" s="24">
        <f>SUM(D4:D11)</f>
        <v>5024793.9000000004</v>
      </c>
      <c r="E12" s="52">
        <f t="shared" si="0"/>
        <v>502.47939000000002</v>
      </c>
    </row>
    <row r="13" spans="2:7" x14ac:dyDescent="0.25">
      <c r="B13" s="68"/>
      <c r="C13" s="13"/>
      <c r="D13" s="13"/>
      <c r="E13" s="13"/>
    </row>
    <row r="14" spans="2:7" s="48" customFormat="1" x14ac:dyDescent="0.25">
      <c r="B14" s="69"/>
      <c r="C14" s="6"/>
      <c r="D14" s="6"/>
      <c r="E14" s="6"/>
    </row>
    <row r="15" spans="2:7" s="48" customFormat="1" x14ac:dyDescent="0.25">
      <c r="B15" s="77" t="s">
        <v>160</v>
      </c>
      <c r="C15" s="77"/>
      <c r="D15" s="77"/>
      <c r="E15" s="77"/>
    </row>
    <row r="16" spans="2:7" s="48" customFormat="1" ht="20.25" customHeight="1" x14ac:dyDescent="0.25">
      <c r="B16" s="77" t="s">
        <v>166</v>
      </c>
      <c r="C16" s="77"/>
      <c r="D16" s="77"/>
      <c r="E16" s="77"/>
    </row>
    <row r="17" spans="1:11" s="48" customFormat="1" ht="15" customHeight="1" x14ac:dyDescent="0.25">
      <c r="B17" s="68" t="s">
        <v>161</v>
      </c>
      <c r="C17" s="65" t="s">
        <v>162</v>
      </c>
      <c r="D17" s="63"/>
      <c r="E17" s="63"/>
    </row>
    <row r="18" spans="1:11" s="48" customFormat="1" x14ac:dyDescent="0.25">
      <c r="B18" s="68" t="s">
        <v>163</v>
      </c>
      <c r="C18" s="2">
        <f>D12</f>
        <v>5024793.9000000004</v>
      </c>
      <c r="D18" s="6"/>
      <c r="E18" s="6"/>
    </row>
    <row r="19" spans="1:11" s="48" customFormat="1" x14ac:dyDescent="0.25">
      <c r="B19" s="68" t="s">
        <v>164</v>
      </c>
      <c r="C19" s="2">
        <v>2674237.29</v>
      </c>
      <c r="D19" s="6"/>
      <c r="E19" s="6"/>
    </row>
    <row r="20" spans="1:11" s="48" customFormat="1" x14ac:dyDescent="0.25">
      <c r="B20" s="22" t="s">
        <v>165</v>
      </c>
      <c r="C20" s="24">
        <f>C18-C19</f>
        <v>2350556.6100000003</v>
      </c>
      <c r="D20" s="6"/>
      <c r="E20" s="6"/>
    </row>
    <row r="21" spans="1:11" s="48" customFormat="1" x14ac:dyDescent="0.25">
      <c r="B21" s="77" t="s">
        <v>167</v>
      </c>
      <c r="C21" s="77"/>
      <c r="D21" s="77"/>
      <c r="E21" s="77"/>
    </row>
    <row r="22" spans="1:11" s="48" customFormat="1" x14ac:dyDescent="0.25">
      <c r="B22" s="68" t="s">
        <v>161</v>
      </c>
      <c r="C22" s="66" t="s">
        <v>162</v>
      </c>
      <c r="D22" s="64"/>
      <c r="E22" s="64"/>
    </row>
    <row r="23" spans="1:11" s="48" customFormat="1" x14ac:dyDescent="0.25">
      <c r="B23" s="68" t="s">
        <v>168</v>
      </c>
      <c r="C23" s="2">
        <f>C20</f>
        <v>2350556.6100000003</v>
      </c>
      <c r="D23" s="6"/>
      <c r="E23" s="6"/>
    </row>
    <row r="24" spans="1:11" x14ac:dyDescent="0.25">
      <c r="B24" s="68" t="s">
        <v>169</v>
      </c>
      <c r="C24" s="2">
        <f>'Proporción Vialidad, AV,Equip'!L12</f>
        <v>163739.85999999999</v>
      </c>
    </row>
    <row r="25" spans="1:11" ht="30" outlineLevel="1" x14ac:dyDescent="0.25">
      <c r="B25" s="70" t="s">
        <v>170</v>
      </c>
      <c r="C25" s="24">
        <f>C23-C24</f>
        <v>2186816.7500000005</v>
      </c>
    </row>
    <row r="26" spans="1:11" outlineLevel="1" x14ac:dyDescent="0.25"/>
    <row r="27" spans="1:11" ht="15.75" outlineLevel="1" x14ac:dyDescent="0.25">
      <c r="A27" s="54"/>
      <c r="B27" s="76" t="s">
        <v>112</v>
      </c>
      <c r="C27" s="76"/>
      <c r="D27" s="76"/>
      <c r="E27" s="76"/>
      <c r="F27" s="76"/>
      <c r="G27" s="76"/>
      <c r="H27" s="76"/>
      <c r="I27" s="76"/>
      <c r="J27" s="76"/>
      <c r="K27" s="76"/>
    </row>
    <row r="28" spans="1:11" outlineLevel="1" x14ac:dyDescent="0.25"/>
    <row r="29" spans="1:11" outlineLevel="1" x14ac:dyDescent="0.25">
      <c r="B29" s="74" t="s">
        <v>136</v>
      </c>
      <c r="C29" s="74"/>
      <c r="D29" s="74"/>
      <c r="E29" s="74"/>
      <c r="F29" s="74"/>
      <c r="G29" s="74"/>
      <c r="H29" s="74"/>
      <c r="I29" s="74"/>
      <c r="J29" s="74"/>
      <c r="K29" s="74"/>
    </row>
    <row r="30" spans="1:11" ht="30" outlineLevel="1" x14ac:dyDescent="0.25">
      <c r="B30" s="5" t="s">
        <v>42</v>
      </c>
      <c r="C30" s="18" t="s">
        <v>41</v>
      </c>
      <c r="D30" s="19" t="s">
        <v>40</v>
      </c>
      <c r="E30" s="18" t="s">
        <v>39</v>
      </c>
      <c r="F30" s="18" t="s">
        <v>38</v>
      </c>
      <c r="G30" s="19" t="s">
        <v>37</v>
      </c>
      <c r="H30" s="19" t="s">
        <v>36</v>
      </c>
      <c r="I30" s="19" t="s">
        <v>35</v>
      </c>
      <c r="J30" s="19" t="s">
        <v>34</v>
      </c>
      <c r="K30" s="18" t="s">
        <v>33</v>
      </c>
    </row>
    <row r="31" spans="1:11" outlineLevel="1" x14ac:dyDescent="0.25">
      <c r="B31" s="5" t="s">
        <v>31</v>
      </c>
      <c r="C31" s="13">
        <v>3.0000000000000001E-3</v>
      </c>
      <c r="D31" s="13">
        <v>100</v>
      </c>
      <c r="E31" s="13">
        <v>6.79</v>
      </c>
      <c r="F31" s="13">
        <f>(C31*D31)+E31</f>
        <v>7.09</v>
      </c>
      <c r="G31" s="2">
        <f>C25</f>
        <v>2186816.7500000005</v>
      </c>
      <c r="H31" s="17">
        <f>+(G31*F31)/100</f>
        <v>155045.30757500001</v>
      </c>
      <c r="I31" s="17">
        <f>+H31*0.2</f>
        <v>31009.061515000005</v>
      </c>
      <c r="J31" s="16">
        <f>D9</f>
        <v>171519.45</v>
      </c>
      <c r="K31" s="16">
        <f>+J31-H31</f>
        <v>16474.142424999998</v>
      </c>
    </row>
    <row r="32" spans="1:11" outlineLevel="1" x14ac:dyDescent="0.25">
      <c r="B32" s="5" t="s">
        <v>29</v>
      </c>
      <c r="C32" s="13">
        <v>2E-3</v>
      </c>
      <c r="D32" s="13">
        <v>100</v>
      </c>
      <c r="E32" s="13">
        <v>1.86</v>
      </c>
      <c r="F32" s="13">
        <f>(C32*D32)+E32</f>
        <v>2.06</v>
      </c>
      <c r="G32" s="2">
        <f>C25</f>
        <v>2186816.7500000005</v>
      </c>
      <c r="H32" s="17">
        <f>+(G32*F32)/100</f>
        <v>45048.425050000005</v>
      </c>
      <c r="I32" s="13"/>
      <c r="J32" s="2">
        <f>D7</f>
        <v>45088.47</v>
      </c>
      <c r="K32" s="16">
        <f>+J32-H32</f>
        <v>40.044949999995879</v>
      </c>
    </row>
  </sheetData>
  <mergeCells count="6">
    <mergeCell ref="B29:K29"/>
    <mergeCell ref="D2:E2"/>
    <mergeCell ref="B27:K27"/>
    <mergeCell ref="B15:E15"/>
    <mergeCell ref="B16:E16"/>
    <mergeCell ref="B21:E21"/>
  </mergeCells>
  <pageMargins left="0.7" right="0.7" top="0.75" bottom="0.75" header="0.3" footer="0.3"/>
  <pageSetup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0"/>
  <sheetViews>
    <sheetView tabSelected="1" topLeftCell="C1" zoomScale="85" zoomScaleNormal="85" workbookViewId="0">
      <selection activeCell="J16" sqref="J16"/>
    </sheetView>
  </sheetViews>
  <sheetFormatPr baseColWidth="10" defaultRowHeight="15" outlineLevelRow="1" x14ac:dyDescent="0.25"/>
  <cols>
    <col min="1" max="1" width="11.42578125" style="1"/>
    <col min="2" max="2" width="15" style="1" customWidth="1"/>
    <col min="3" max="3" width="32.85546875" style="1" customWidth="1"/>
    <col min="4" max="4" width="11.42578125" style="1"/>
    <col min="5" max="5" width="12.28515625" style="33" customWidth="1"/>
    <col min="6" max="6" width="4.28515625" style="1" customWidth="1"/>
    <col min="7" max="7" width="17.28515625" style="1" customWidth="1"/>
    <col min="8" max="8" width="13.42578125" style="1" customWidth="1"/>
    <col min="9" max="9" width="11.28515625" style="33" customWidth="1"/>
    <col min="10" max="10" width="5.7109375" style="1" customWidth="1"/>
    <col min="11" max="11" width="29.7109375" style="1" customWidth="1"/>
    <col min="12" max="12" width="16.28515625" style="1" customWidth="1"/>
    <col min="13" max="13" width="15.85546875" style="35" customWidth="1"/>
    <col min="14" max="14" width="11.42578125" style="1"/>
    <col min="15" max="15" width="15.7109375" style="1" bestFit="1" customWidth="1"/>
    <col min="16" max="16384" width="11.42578125" style="1"/>
  </cols>
  <sheetData>
    <row r="1" spans="2:15" ht="15.75" x14ac:dyDescent="0.25">
      <c r="C1" s="26" t="s">
        <v>54</v>
      </c>
      <c r="D1" s="25"/>
      <c r="E1" s="32"/>
      <c r="F1" s="25"/>
      <c r="G1" s="25"/>
      <c r="H1" s="25"/>
    </row>
    <row r="2" spans="2:15" ht="20.25" customHeight="1" x14ac:dyDescent="0.25">
      <c r="C2" s="80" t="s">
        <v>131</v>
      </c>
      <c r="D2" s="80"/>
      <c r="E2" s="80"/>
      <c r="F2" s="80"/>
      <c r="G2" s="80"/>
      <c r="H2" s="80"/>
      <c r="I2" s="80"/>
      <c r="J2" s="80"/>
      <c r="K2" s="80"/>
      <c r="L2" s="80"/>
      <c r="M2" s="80"/>
    </row>
    <row r="3" spans="2:15" s="36" customFormat="1" ht="20.25" customHeight="1" x14ac:dyDescent="0.25">
      <c r="C3" s="49" t="s">
        <v>176</v>
      </c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2:15" ht="30" customHeight="1" x14ac:dyDescent="0.25">
      <c r="C4" s="74" t="s">
        <v>185</v>
      </c>
      <c r="D4" s="74"/>
      <c r="G4" s="5" t="s">
        <v>105</v>
      </c>
      <c r="H4" s="18"/>
      <c r="K4" s="83" t="s">
        <v>113</v>
      </c>
      <c r="L4" s="84"/>
      <c r="M4" s="62"/>
    </row>
    <row r="5" spans="2:15" x14ac:dyDescent="0.25">
      <c r="C5" s="10" t="s">
        <v>53</v>
      </c>
      <c r="D5" s="37">
        <v>171519.45</v>
      </c>
      <c r="E5" s="33">
        <v>1</v>
      </c>
      <c r="G5" s="13" t="s">
        <v>104</v>
      </c>
      <c r="H5" s="24">
        <f>'Calculo AV, equip. obligatoria'!D4+'Calculo AV, equip. obligatoria'!D5</f>
        <v>1766753.84</v>
      </c>
      <c r="I5" s="33">
        <v>1</v>
      </c>
      <c r="K5" s="13" t="s">
        <v>114</v>
      </c>
      <c r="L5" s="24">
        <f>'Calculo AV, equip. obligatoria'!D8</f>
        <v>330116.56</v>
      </c>
      <c r="M5" s="29"/>
      <c r="N5" s="23">
        <v>1</v>
      </c>
    </row>
    <row r="7" spans="2:15" x14ac:dyDescent="0.25">
      <c r="B7" s="10" t="s">
        <v>107</v>
      </c>
      <c r="C7" s="22" t="s">
        <v>109</v>
      </c>
      <c r="D7" s="24" t="s">
        <v>52</v>
      </c>
      <c r="E7" s="44" t="s">
        <v>110</v>
      </c>
      <c r="F7" s="47"/>
      <c r="G7" s="10" t="s">
        <v>103</v>
      </c>
      <c r="H7" s="10" t="s">
        <v>52</v>
      </c>
      <c r="I7" s="44" t="s">
        <v>110</v>
      </c>
      <c r="K7" s="10" t="s">
        <v>115</v>
      </c>
      <c r="L7" s="10" t="s">
        <v>52</v>
      </c>
      <c r="M7" s="10" t="s">
        <v>130</v>
      </c>
      <c r="N7" s="10" t="s">
        <v>116</v>
      </c>
    </row>
    <row r="8" spans="2:15" x14ac:dyDescent="0.25">
      <c r="B8" s="13" t="s">
        <v>108</v>
      </c>
      <c r="C8" s="12" t="s">
        <v>51</v>
      </c>
      <c r="D8" s="11">
        <v>1605.92</v>
      </c>
      <c r="E8" s="44">
        <f>$D$8/$D$5</f>
        <v>9.3629031576302271E-3</v>
      </c>
      <c r="G8" s="13" t="s">
        <v>102</v>
      </c>
      <c r="H8" s="2">
        <v>54437.15</v>
      </c>
      <c r="I8" s="41">
        <f>H8/$H$5</f>
        <v>3.0811960765286917E-2</v>
      </c>
      <c r="K8" s="13" t="s">
        <v>117</v>
      </c>
      <c r="L8" s="2">
        <v>91619.8</v>
      </c>
      <c r="M8" s="2">
        <f>5348.43+2925.02</f>
        <v>8273.4500000000007</v>
      </c>
      <c r="N8" s="41">
        <f>M8/L5</f>
        <v>2.5062208330294006E-2</v>
      </c>
    </row>
    <row r="9" spans="2:15" x14ac:dyDescent="0.25">
      <c r="B9" s="13" t="s">
        <v>108</v>
      </c>
      <c r="C9" s="13" t="s">
        <v>50</v>
      </c>
      <c r="D9" s="2">
        <v>2108.17</v>
      </c>
      <c r="E9" s="44">
        <f>($D$8+$D$9)/$D$5</f>
        <v>2.1654045649050296E-2</v>
      </c>
      <c r="G9" s="13" t="s">
        <v>101</v>
      </c>
      <c r="H9" s="2">
        <v>16829.759999999998</v>
      </c>
      <c r="I9" s="41">
        <f>(H9+H8)/$H$5</f>
        <v>4.0337769974791736E-2</v>
      </c>
      <c r="K9" s="13" t="s">
        <v>118</v>
      </c>
      <c r="L9" s="2">
        <v>44200.11</v>
      </c>
      <c r="M9" s="2">
        <f>715.56+10322.55+8994.38</f>
        <v>20032.489999999998</v>
      </c>
      <c r="N9" s="41">
        <f>(M8+M9)/L5</f>
        <v>8.5745289481993878E-2</v>
      </c>
    </row>
    <row r="10" spans="2:15" x14ac:dyDescent="0.25">
      <c r="B10" s="13" t="s">
        <v>108</v>
      </c>
      <c r="C10" s="13" t="s">
        <v>49</v>
      </c>
      <c r="D10" s="2">
        <v>1831.44</v>
      </c>
      <c r="E10" s="44">
        <f>($D$8+$D$9+$D$10)/$D$5</f>
        <v>3.2331785112417279E-2</v>
      </c>
      <c r="G10" s="13" t="s">
        <v>100</v>
      </c>
      <c r="H10" s="2">
        <v>25562.880000000001</v>
      </c>
      <c r="I10" s="41">
        <f>(H10+H9+H8)/$H$5</f>
        <v>5.4806610750029558E-2</v>
      </c>
      <c r="K10" s="13" t="s">
        <v>183</v>
      </c>
      <c r="L10" s="2">
        <v>5775.21</v>
      </c>
      <c r="M10" s="2">
        <v>5775.21</v>
      </c>
      <c r="N10" s="41">
        <f>(M8+M9+M10)/L5</f>
        <v>0.1032397465913252</v>
      </c>
    </row>
    <row r="11" spans="2:15" x14ac:dyDescent="0.25">
      <c r="B11" s="13" t="s">
        <v>108</v>
      </c>
      <c r="C11" s="13" t="s">
        <v>48</v>
      </c>
      <c r="D11" s="2">
        <v>230.81</v>
      </c>
      <c r="E11" s="44">
        <f>(D8+D9+D10+D11)/D5</f>
        <v>3.3677463401381016E-2</v>
      </c>
      <c r="G11" s="13" t="s">
        <v>99</v>
      </c>
      <c r="H11" s="2">
        <v>36442.050000000003</v>
      </c>
      <c r="I11" s="41">
        <f>(H11+H10+H9+H8)/$H$5</f>
        <v>7.5433168437318912E-2</v>
      </c>
      <c r="K11" s="13" t="s">
        <v>182</v>
      </c>
      <c r="L11" s="2">
        <f>22139.59+5.15</f>
        <v>22144.74</v>
      </c>
      <c r="M11" s="2"/>
      <c r="N11" s="41"/>
    </row>
    <row r="12" spans="2:15" x14ac:dyDescent="0.25">
      <c r="B12" s="13" t="s">
        <v>108</v>
      </c>
      <c r="C12" s="13" t="s">
        <v>47</v>
      </c>
      <c r="D12" s="2">
        <v>3069.82</v>
      </c>
      <c r="E12" s="44">
        <f>(D8+D9+D10+D11+D12)/D5</f>
        <v>5.1575258665999692E-2</v>
      </c>
      <c r="G12" s="13" t="s">
        <v>98</v>
      </c>
      <c r="H12" s="2">
        <v>21283.58</v>
      </c>
      <c r="I12" s="41">
        <f>(H12+H11+H10+H9+H8)/$H$5</f>
        <v>8.7479883445449311E-2</v>
      </c>
      <c r="K12" s="10" t="s">
        <v>172</v>
      </c>
      <c r="L12" s="24">
        <f>SUM(L8:L11)</f>
        <v>163739.85999999999</v>
      </c>
      <c r="M12" s="24"/>
      <c r="N12" s="41"/>
      <c r="O12" s="61"/>
    </row>
    <row r="13" spans="2:15" x14ac:dyDescent="0.25">
      <c r="B13" s="13" t="s">
        <v>108</v>
      </c>
      <c r="C13" s="13" t="s">
        <v>46</v>
      </c>
      <c r="D13" s="2">
        <v>812.7</v>
      </c>
      <c r="E13" s="44">
        <f>(D8+D9+D10+D11+D12+D13)/D5</f>
        <v>5.6313496807504929E-2</v>
      </c>
      <c r="G13" s="13" t="s">
        <v>97</v>
      </c>
      <c r="H13" s="2">
        <v>26806.71</v>
      </c>
      <c r="I13" s="41">
        <f>(H13+H12+H11+H10+H9+H8)/$H$5</f>
        <v>0.10265274419893153</v>
      </c>
      <c r="K13" s="13"/>
      <c r="L13" s="2"/>
      <c r="M13" s="2"/>
      <c r="N13" s="41"/>
    </row>
    <row r="14" spans="2:15" x14ac:dyDescent="0.25">
      <c r="B14" s="13" t="s">
        <v>108</v>
      </c>
      <c r="C14" s="13" t="s">
        <v>45</v>
      </c>
      <c r="D14" s="2">
        <v>286.3</v>
      </c>
      <c r="E14" s="44">
        <f>(D8+D9+D10+D11+D12+D13+D14)/D5</f>
        <v>5.7982695257010219E-2</v>
      </c>
      <c r="G14" s="13" t="s">
        <v>96</v>
      </c>
      <c r="H14" s="2">
        <v>33988.42</v>
      </c>
      <c r="I14" s="41">
        <f>(H14+H13+H12+H11+H10+H9+H8)/$H$5</f>
        <v>0.1218905232434644</v>
      </c>
      <c r="K14" s="13" t="s">
        <v>119</v>
      </c>
      <c r="L14" s="2">
        <v>78097.72</v>
      </c>
      <c r="M14" s="2">
        <f>17912.11+4126.93+8401.56+37.85+6869.9+856.25+5457.86+18613.48</f>
        <v>62275.94</v>
      </c>
      <c r="N14" s="41">
        <f>(M8+M9+M10+M14)/L5</f>
        <v>0.29188808340908434</v>
      </c>
    </row>
    <row r="15" spans="2:15" x14ac:dyDescent="0.25">
      <c r="B15" s="13" t="s">
        <v>108</v>
      </c>
      <c r="C15" s="13" t="s">
        <v>44</v>
      </c>
      <c r="D15" s="2">
        <v>623.03</v>
      </c>
      <c r="E15" s="44">
        <f>(D8+D9+D10+D11+D12+D13+D14+D15)/D5</f>
        <v>6.1615111289127861E-2</v>
      </c>
      <c r="G15" s="12" t="s">
        <v>95</v>
      </c>
      <c r="H15" s="11">
        <v>35110.15</v>
      </c>
      <c r="I15" s="41">
        <f>(H15+H14+H13+H12+H11+H10+H9+H8)/$H$5</f>
        <v>0.14176321246880663</v>
      </c>
      <c r="K15" s="13" t="s">
        <v>120</v>
      </c>
      <c r="L15" s="2">
        <v>8889.7900000000009</v>
      </c>
      <c r="M15" s="2">
        <f>L15</f>
        <v>8889.7900000000009</v>
      </c>
      <c r="N15" s="41">
        <f>(M8+M9+M10+M14+M15)/L5</f>
        <v>0.31881732924879624</v>
      </c>
    </row>
    <row r="16" spans="2:15" x14ac:dyDescent="0.25">
      <c r="B16" s="13" t="s">
        <v>108</v>
      </c>
      <c r="C16" s="13" t="s">
        <v>43</v>
      </c>
      <c r="D16" s="2">
        <v>1064.75</v>
      </c>
      <c r="E16" s="44">
        <f>(D8+D9+D10+D11+D12+D13+D14+D15+D16)/D5</f>
        <v>6.7822862071910808E-2</v>
      </c>
      <c r="G16" s="12" t="s">
        <v>94</v>
      </c>
      <c r="H16" s="11">
        <v>29431.81</v>
      </c>
      <c r="I16" s="41">
        <f>(H16+H15+H14+H13+H12+H11+H10+H9+H8)/$H$5</f>
        <v>0.15842190556665212</v>
      </c>
      <c r="K16" s="13" t="s">
        <v>121</v>
      </c>
      <c r="L16" s="2">
        <v>11309.69</v>
      </c>
      <c r="M16" s="2">
        <f>L16</f>
        <v>11309.69</v>
      </c>
      <c r="N16" s="41">
        <f>(M8+M9+M10+M14+M15+M16)/L5</f>
        <v>0.35307701619088727</v>
      </c>
    </row>
    <row r="17" spans="2:14" x14ac:dyDescent="0.25">
      <c r="B17" s="13" t="s">
        <v>108</v>
      </c>
      <c r="C17" s="13" t="s">
        <v>32</v>
      </c>
      <c r="D17" s="2">
        <v>13186.39</v>
      </c>
      <c r="E17" s="44">
        <f>(D8+D9+D10+D11+D12+D13+D14+D15+D16+D17)/D5</f>
        <v>0.14470271447348973</v>
      </c>
      <c r="G17" s="13" t="s">
        <v>93</v>
      </c>
      <c r="H17" s="2">
        <v>41809.97</v>
      </c>
      <c r="I17" s="41">
        <f>(H17+H16+H15+H14+H13+H12+H11+H10+H9+H8)/$H$5</f>
        <v>0.18208675861714838</v>
      </c>
      <c r="K17" s="13" t="s">
        <v>122</v>
      </c>
      <c r="L17" s="2">
        <f>4797.19+17987.56</f>
        <v>22784.75</v>
      </c>
      <c r="M17" s="2">
        <f>L17</f>
        <v>22784.75</v>
      </c>
      <c r="N17" s="41">
        <f>(M8+M9+M10+M14+M15+M16+M17)/L5</f>
        <v>0.42209733434760138</v>
      </c>
    </row>
    <row r="18" spans="2:14" x14ac:dyDescent="0.25">
      <c r="B18" s="13" t="s">
        <v>108</v>
      </c>
      <c r="C18" s="13" t="s">
        <v>30</v>
      </c>
      <c r="D18" s="2">
        <v>13127.96</v>
      </c>
      <c r="E18" s="44">
        <f>(D8+D9+D10+D11+D12+D13+D14+D15+D16+D17+D18)/D5</f>
        <v>0.22124190580135372</v>
      </c>
      <c r="G18" s="13" t="s">
        <v>92</v>
      </c>
      <c r="H18" s="2">
        <v>32116.35</v>
      </c>
      <c r="I18" s="41">
        <f>(H18+H17+H16+H15+H14+H13+H12+H11+H10+H9+H8)/$H$5</f>
        <v>0.20026492768228538</v>
      </c>
      <c r="K18" s="13" t="s">
        <v>123</v>
      </c>
      <c r="L18" s="2">
        <v>8718.6</v>
      </c>
      <c r="M18" s="2"/>
      <c r="N18" s="41"/>
    </row>
    <row r="19" spans="2:14" x14ac:dyDescent="0.25">
      <c r="B19" s="13" t="s">
        <v>108</v>
      </c>
      <c r="C19" s="13" t="s">
        <v>28</v>
      </c>
      <c r="D19" s="2">
        <v>7871.17</v>
      </c>
      <c r="E19" s="41">
        <f>(D8+D9+D10+D11+D12+D13+D14+D15+D16+D17+D18+D19)/D5</f>
        <v>0.26713273625819112</v>
      </c>
      <c r="G19" s="13" t="s">
        <v>91</v>
      </c>
      <c r="H19" s="2">
        <v>22835.45</v>
      </c>
      <c r="I19" s="41">
        <f>(H19+H18+H17+H16+H15+H14+H13+H12+H11+H10+H9+H8)/$H$5</f>
        <v>0.21319001632960935</v>
      </c>
      <c r="K19" s="13" t="s">
        <v>124</v>
      </c>
      <c r="L19" s="2">
        <v>12645.18</v>
      </c>
      <c r="M19" s="2">
        <f>L19</f>
        <v>12645.18</v>
      </c>
      <c r="N19" s="41">
        <f>(M8+M9+M10+M14+M15+M16+M17+M19)/L5</f>
        <v>0.46040253176029705</v>
      </c>
    </row>
    <row r="20" spans="2:14" x14ac:dyDescent="0.25">
      <c r="B20" s="13" t="s">
        <v>108</v>
      </c>
      <c r="C20" s="13" t="s">
        <v>27</v>
      </c>
      <c r="D20" s="2">
        <v>3375.33</v>
      </c>
      <c r="E20" s="41">
        <f>(D8+D9+D10+D11+D12+D13+D14+D15+D16+D17+D18+D19+D20)/D5</f>
        <v>0.28681172893219981</v>
      </c>
      <c r="G20" s="13" t="s">
        <v>90</v>
      </c>
      <c r="H20" s="2">
        <v>20087.28</v>
      </c>
      <c r="I20" s="41">
        <f>(H20+H19+H18+H17+H16+H15+H14+H13+H12+H11+H10+H9+H8)/$H$5</f>
        <v>0.22455961380562217</v>
      </c>
      <c r="K20" s="13" t="s">
        <v>125</v>
      </c>
      <c r="L20" s="2">
        <v>258.95999999999998</v>
      </c>
      <c r="M20" s="2">
        <f>L20</f>
        <v>258.95999999999998</v>
      </c>
      <c r="N20" s="41">
        <f>(M8+M9+M10+M14+M15+M16+M17+M19+M20)/L5</f>
        <v>0.46118698195570679</v>
      </c>
    </row>
    <row r="21" spans="2:14" x14ac:dyDescent="0.25">
      <c r="B21" s="13" t="s">
        <v>108</v>
      </c>
      <c r="C21" s="13" t="s">
        <v>26</v>
      </c>
      <c r="D21" s="2">
        <v>10379.709999999999</v>
      </c>
      <c r="E21" s="41">
        <f>(D8+D9+D10+D11+D12+D13+D14+D15+D16+D17+D18+D19+D20+D21)/D5</f>
        <v>0.34732795610060546</v>
      </c>
      <c r="G21" s="13" t="s">
        <v>89</v>
      </c>
      <c r="H21" s="2">
        <v>35634.199999999997</v>
      </c>
      <c r="I21" s="41">
        <f>(H21+H20+H19+H18+H17+H16+H15+H14+H13+H12+H11+H10+H9+H8)/$H$5</f>
        <v>0.2447289204703243</v>
      </c>
      <c r="K21" s="13" t="s">
        <v>126</v>
      </c>
      <c r="L21" s="2">
        <v>258.83999999999997</v>
      </c>
      <c r="M21" s="2">
        <f>L21</f>
        <v>258.83999999999997</v>
      </c>
      <c r="N21" s="41">
        <f>(M8+M9+M10+M14+M15+M16+M17+M19+M20+M21)/L5</f>
        <v>0.4619710686431483</v>
      </c>
    </row>
    <row r="22" spans="2:14" x14ac:dyDescent="0.25">
      <c r="B22" s="13" t="s">
        <v>108</v>
      </c>
      <c r="C22" s="13" t="s">
        <v>25</v>
      </c>
      <c r="D22" s="2">
        <v>4731.24</v>
      </c>
      <c r="E22" s="41">
        <f>(D8+D9+D10+D11+D12+D13+D14+D15+D16+D17+D18+D19+D20+D21+D22)/D5</f>
        <v>0.37491223298582171</v>
      </c>
      <c r="G22" s="13" t="s">
        <v>88</v>
      </c>
      <c r="H22" s="2">
        <v>1431.03</v>
      </c>
      <c r="I22" s="41">
        <f>(H22+H21+H20+H19+H18+H17+H16+H15+H14+H13+H12+H11+H10+H9+H8)/$H$5</f>
        <v>0.24553889748443961</v>
      </c>
      <c r="K22" s="13" t="s">
        <v>127</v>
      </c>
      <c r="L22" s="2">
        <v>6209.83</v>
      </c>
      <c r="M22" s="2"/>
      <c r="N22" s="41"/>
    </row>
    <row r="23" spans="2:14" x14ac:dyDescent="0.25">
      <c r="B23" s="13" t="s">
        <v>108</v>
      </c>
      <c r="C23" s="13" t="s">
        <v>24</v>
      </c>
      <c r="D23" s="2">
        <v>3488.38</v>
      </c>
      <c r="E23" s="41">
        <f>(D8+D9+D10+D11+D12+D13+D14+D15+D16+D17+D18+D19+D20+D21+D22+D23)/D5</f>
        <v>0.39525033458304576</v>
      </c>
      <c r="G23" s="13" t="s">
        <v>87</v>
      </c>
      <c r="H23" s="2">
        <v>27021.62</v>
      </c>
      <c r="I23" s="41">
        <f>(H23+H22+H21+H20+H19+H18+H17+H16+H15+H14+H13+H12+H11+H10+H9+H8)/$H$5</f>
        <v>0.26083339940554479</v>
      </c>
      <c r="K23" s="13" t="s">
        <v>128</v>
      </c>
      <c r="L23" s="2">
        <v>3009.52</v>
      </c>
      <c r="M23" s="2">
        <f>L23</f>
        <v>3009.52</v>
      </c>
      <c r="N23" s="41">
        <f>(M8+M9+M10+M14+M15+M16+M17+M19+M20+M21+M23)/L5</f>
        <v>0.4710876061473559</v>
      </c>
    </row>
    <row r="24" spans="2:14" x14ac:dyDescent="0.25">
      <c r="B24" s="13" t="s">
        <v>108</v>
      </c>
      <c r="C24" s="13" t="s">
        <v>23</v>
      </c>
      <c r="D24" s="2">
        <v>431.73</v>
      </c>
      <c r="E24" s="41">
        <f>(D8+D9+D10+D11+D12+D13+D14+D15+D16+D17+D18+D19+D20+D21+D22+D23+D24)/D5</f>
        <v>0.39776742521037695</v>
      </c>
      <c r="G24" s="13" t="s">
        <v>86</v>
      </c>
      <c r="H24" s="2">
        <v>54031.79</v>
      </c>
      <c r="I24" s="41">
        <f>(H24+H23+H22+H21+H20+H19+H18+H17+H16+H15+H14+H13+H12+H11+H10+H9+H8)/$H$5</f>
        <v>0.29141592243546505</v>
      </c>
      <c r="K24" s="13" t="s">
        <v>129</v>
      </c>
      <c r="L24" s="2">
        <f>8078.37+6105.45</f>
        <v>14183.82</v>
      </c>
      <c r="M24" s="2">
        <f>L24</f>
        <v>14183.82</v>
      </c>
      <c r="N24" s="41">
        <f>(M8+M9+M10+M14+M15+M16+M17+M19+M20+M21+M23+M24)/L5</f>
        <v>0.51405370272851503</v>
      </c>
    </row>
    <row r="25" spans="2:14" x14ac:dyDescent="0.25">
      <c r="B25" s="13" t="s">
        <v>108</v>
      </c>
      <c r="C25" s="13" t="s">
        <v>22</v>
      </c>
      <c r="D25" s="2">
        <v>2931.2</v>
      </c>
      <c r="E25" s="41">
        <f>(D8+D9+D10+D11+D12+D13+D14+D15+D16+D17+D18+D19+D20+D21+D22+D23+D24+D25)/D5</f>
        <v>0.41485703224911219</v>
      </c>
      <c r="G25" s="30" t="s">
        <v>85</v>
      </c>
      <c r="H25" s="31">
        <v>33805.949999999997</v>
      </c>
      <c r="I25" s="43">
        <f>(H25+H24+H23+H22+H21+H20+H19+H18+H17+H16+H15+H14+H13+H12+H11+H10+H9+H8)/$H$5</f>
        <v>0.31055042167051411</v>
      </c>
      <c r="K25" s="79" t="s">
        <v>173</v>
      </c>
      <c r="L25" s="79"/>
      <c r="M25" s="14">
        <f>SUM(M8:M24)</f>
        <v>169697.63999999998</v>
      </c>
      <c r="N25" s="39">
        <f>M25/L5</f>
        <v>0.51405370272851503</v>
      </c>
    </row>
    <row r="26" spans="2:14" x14ac:dyDescent="0.25">
      <c r="B26" s="13" t="s">
        <v>108</v>
      </c>
      <c r="C26" s="13" t="s">
        <v>21</v>
      </c>
      <c r="D26" s="2">
        <v>711.11</v>
      </c>
      <c r="E26" s="41">
        <f>(D8+D9+D10+D11+D12+D13+D14+D15+D16+D17+D18+D19+D20+D21+D22+D23+D24+D25+D26)/D5</f>
        <v>0.41900297604732284</v>
      </c>
      <c r="G26" s="30" t="s">
        <v>84</v>
      </c>
      <c r="H26" s="31">
        <v>30300.19</v>
      </c>
      <c r="I26" s="42">
        <f>(H26+H25+H24+H23+H22+H21+H20+H19+H18+H17+H16+H15+H14+H13+H12+H11+H10+H9+H8)/$H$5</f>
        <v>0.32770062636456471</v>
      </c>
    </row>
    <row r="27" spans="2:14" ht="15" customHeight="1" x14ac:dyDescent="0.25">
      <c r="B27" s="13" t="s">
        <v>108</v>
      </c>
      <c r="C27" s="13" t="s">
        <v>20</v>
      </c>
      <c r="D27" s="2">
        <v>109.04</v>
      </c>
      <c r="E27" s="41">
        <f>(D8+D9+D10+D11+D12+D13+D14+D15+D16+D17+D18+D19+D20+D21+D22+D23+D24+D25+D26+D27)/D5</f>
        <v>0.41963870569780848</v>
      </c>
      <c r="F27" s="9"/>
      <c r="G27" s="30" t="s">
        <v>57</v>
      </c>
      <c r="H27" s="31">
        <v>29317.49</v>
      </c>
      <c r="I27" s="42">
        <f>(H27+H26+H25+H24+H23+H22+H21+H20+H19+H18+H17+H16+H15+H14+H13+H12+H11+H10+H9+H8)/$H$5</f>
        <v>0.34429461322127369</v>
      </c>
    </row>
    <row r="28" spans="2:14" ht="15" customHeight="1" x14ac:dyDescent="0.25">
      <c r="B28" s="13" t="s">
        <v>108</v>
      </c>
      <c r="C28" s="13" t="s">
        <v>19</v>
      </c>
      <c r="D28" s="2">
        <v>176.62</v>
      </c>
      <c r="E28" s="41">
        <f>(D8+D9+D10+D11+D12+D13+D14+D15+D16+D17+D18+D19+D20+D21+D22+D23+D24+D25+D26+D27+D28)/D5</f>
        <v>0.42066844314157942</v>
      </c>
      <c r="G28" s="81" t="s">
        <v>174</v>
      </c>
      <c r="H28" s="82"/>
      <c r="I28" s="40">
        <f>I27</f>
        <v>0.34429461322127369</v>
      </c>
      <c r="K28" s="5" t="s">
        <v>175</v>
      </c>
      <c r="M28" s="33"/>
    </row>
    <row r="29" spans="2:14" ht="15" customHeight="1" x14ac:dyDescent="0.25">
      <c r="B29" s="13" t="s">
        <v>108</v>
      </c>
      <c r="C29" s="12" t="s">
        <v>18</v>
      </c>
      <c r="D29" s="11">
        <v>623.03</v>
      </c>
      <c r="E29" s="41">
        <f>(D8+D9+D10+D11+D12+D13+D14+D15+D16+D17+D18+D19+D20+D21+D22+D23+D24+D25+D26+D27+D28+D29)/D5</f>
        <v>0.42430085917369703</v>
      </c>
      <c r="F29" s="9"/>
      <c r="G29" s="12"/>
      <c r="H29" s="11"/>
      <c r="I29" s="43"/>
      <c r="J29" s="48"/>
      <c r="K29" s="15" t="s">
        <v>1</v>
      </c>
      <c r="L29" s="14">
        <v>32023.64</v>
      </c>
      <c r="M29" s="39">
        <f>+L29/L31</f>
        <v>0.71024011238349849</v>
      </c>
    </row>
    <row r="30" spans="2:14" ht="15" customHeight="1" x14ac:dyDescent="0.25">
      <c r="B30" s="13" t="s">
        <v>108</v>
      </c>
      <c r="C30" s="13" t="s">
        <v>17</v>
      </c>
      <c r="D30" s="2">
        <v>4099.07</v>
      </c>
      <c r="E30" s="41">
        <f>(D8+D9+D10+D11+D12+D13+D14+D15+D16+D17+D18+D19+D20+D21+D22+D23+D24+D25+D26+D27+D28+D29+D30)/D5</f>
        <v>0.44819943160965114</v>
      </c>
      <c r="F30" s="9"/>
      <c r="G30" s="56" t="s">
        <v>171</v>
      </c>
      <c r="H30" s="56" t="s">
        <v>52</v>
      </c>
      <c r="I30" s="57" t="s">
        <v>110</v>
      </c>
      <c r="K30" s="13" t="s">
        <v>0</v>
      </c>
      <c r="L30" s="2">
        <v>13064.83</v>
      </c>
      <c r="M30" s="38">
        <f>+L30/L31</f>
        <v>0.28975988761650151</v>
      </c>
    </row>
    <row r="31" spans="2:14" ht="15" customHeight="1" x14ac:dyDescent="0.25">
      <c r="B31" s="13" t="s">
        <v>108</v>
      </c>
      <c r="C31" s="13" t="s">
        <v>16</v>
      </c>
      <c r="D31" s="2">
        <v>3261.74</v>
      </c>
      <c r="E31" s="41">
        <f>(D8+D9+D10+D11+D12+D13+D14+D15+D16+D17+D18+D19+D20+D21+D22+D23+D24+D25+D26+D27+D28+D29+D30+D31)/D5</f>
        <v>0.4672161670294534</v>
      </c>
      <c r="F31" s="9"/>
      <c r="G31" s="12" t="s">
        <v>111</v>
      </c>
      <c r="H31" s="11">
        <v>29464.25</v>
      </c>
      <c r="I31" s="43">
        <f>(H31+H27+H26+H25+H24+H23+H22+H21+H20+H19+H18+H17+H16+H15+H14+H13+H12+H11+H10+H9+H8)/$H$5</f>
        <v>0.36097166767725836</v>
      </c>
      <c r="L31" s="2">
        <f>SUM(L29:L30)</f>
        <v>45088.47</v>
      </c>
      <c r="M31" s="33"/>
    </row>
    <row r="32" spans="2:14" ht="15" customHeight="1" x14ac:dyDescent="0.25">
      <c r="B32" s="56" t="s">
        <v>5</v>
      </c>
      <c r="C32" s="12" t="s">
        <v>6</v>
      </c>
      <c r="D32" s="11">
        <v>2401.25</v>
      </c>
      <c r="E32" s="43">
        <f>(D8+D9+D10+D11+D12+D13+D14+D15+D16+D17+D18+D19+D20+D21+D22+D23+D24+D25+D26+D27+D28+D29+D30+D31+D32)/D5</f>
        <v>0.48121603701504395</v>
      </c>
      <c r="F32" s="9"/>
      <c r="G32" s="12" t="s">
        <v>83</v>
      </c>
      <c r="H32" s="11">
        <v>18455.150000000001</v>
      </c>
      <c r="I32" s="43">
        <f>(H32+H31+H27+H26+H25+H24+H23+H22+H21+H20+H19+H18+H17+H16+H15+H14+H13+H12+H11+H10+H9+H8)/$H$5</f>
        <v>0.37141746356696759</v>
      </c>
    </row>
    <row r="33" spans="1:14" ht="15" customHeight="1" x14ac:dyDescent="0.25">
      <c r="B33" s="45"/>
      <c r="C33" s="45" t="s">
        <v>15</v>
      </c>
      <c r="D33" s="46">
        <f>SUM(D8:D32)</f>
        <v>82537.909999999989</v>
      </c>
      <c r="E33" s="40">
        <f>D33/D5</f>
        <v>0.48121603701504395</v>
      </c>
      <c r="F33" s="9"/>
      <c r="G33" s="12" t="s">
        <v>82</v>
      </c>
      <c r="H33" s="11">
        <v>38460.81</v>
      </c>
      <c r="I33" s="43">
        <f>(H33+H32+H31+H27+H26+H25+H24+H23+H22+H21+H20+H19+H18+H17+H16+H15+H14+H13+H12+H11+H10+H9+H8)/$H$5</f>
        <v>0.39318665921224205</v>
      </c>
    </row>
    <row r="34" spans="1:14" ht="15" customHeight="1" x14ac:dyDescent="0.25">
      <c r="B34" s="45"/>
      <c r="C34" s="45"/>
      <c r="D34" s="46"/>
      <c r="E34" s="40"/>
      <c r="F34" s="9"/>
      <c r="G34" s="12" t="s">
        <v>81</v>
      </c>
      <c r="H34" s="11">
        <v>30787.97</v>
      </c>
      <c r="I34" s="43">
        <f>(H34+H33+H32+H31+H27+H26+H25+H24+H23+H22+H21+H20+H19+H18+H17+H16+H15+H14+H13+H12+H11+H10+H9+H8)/$H$5</f>
        <v>0.41061295216995253</v>
      </c>
    </row>
    <row r="35" spans="1:14" ht="15" customHeight="1" x14ac:dyDescent="0.25">
      <c r="B35" s="45"/>
      <c r="C35" s="58" t="s">
        <v>184</v>
      </c>
      <c r="D35" s="59" t="s">
        <v>52</v>
      </c>
      <c r="E35" s="43" t="s">
        <v>110</v>
      </c>
      <c r="F35" s="9"/>
      <c r="G35" s="12" t="s">
        <v>80</v>
      </c>
      <c r="H35" s="11">
        <v>26169.95</v>
      </c>
      <c r="I35" s="43">
        <f>(H35+H34+H33+H32+H31+H27+H26+H25+H24+H23+H22+H21+H20+H19+H18+H17+H16+H15+H14+H13+H12+H11+H10+H9+H8)/$H$5</f>
        <v>0.42542540051872763</v>
      </c>
      <c r="K35" s="78" t="s">
        <v>177</v>
      </c>
      <c r="L35" s="78"/>
      <c r="M35" s="78"/>
    </row>
    <row r="36" spans="1:14" ht="15" customHeight="1" x14ac:dyDescent="0.25">
      <c r="B36" s="12" t="s">
        <v>108</v>
      </c>
      <c r="C36" s="12" t="s">
        <v>106</v>
      </c>
      <c r="D36" s="11">
        <v>5045.5600000000004</v>
      </c>
      <c r="E36" s="43">
        <f>($D$33+$D$36)/$D$5</f>
        <v>0.51063287574674465</v>
      </c>
      <c r="F36" s="9"/>
      <c r="G36" s="12" t="s">
        <v>79</v>
      </c>
      <c r="H36" s="11">
        <v>3441.03</v>
      </c>
      <c r="I36" s="43">
        <f>(H36+H35+H34+H33+H32+H31+H27+H26+H25+H24+H23+H22+H21+H20+H19+H18+H17+H16+H15+H14+H13+H12+H11+H10+H9+H8)/$H$5</f>
        <v>0.4273730572449187</v>
      </c>
      <c r="K36" s="71"/>
      <c r="L36" s="71"/>
      <c r="M36" s="71"/>
    </row>
    <row r="37" spans="1:14" ht="15" customHeight="1" x14ac:dyDescent="0.25">
      <c r="B37" s="12" t="s">
        <v>108</v>
      </c>
      <c r="C37" s="12" t="s">
        <v>14</v>
      </c>
      <c r="D37" s="11">
        <v>7040</v>
      </c>
      <c r="E37" s="43">
        <f>($D$33+$D$36+$D$37)/$D$5</f>
        <v>0.55167778348169827</v>
      </c>
      <c r="F37" s="9"/>
      <c r="G37" s="12" t="s">
        <v>78</v>
      </c>
      <c r="H37" s="11">
        <v>31065.39</v>
      </c>
      <c r="I37" s="43">
        <f>(H37+H36+H35+H34+H33+H32+H31+H27+H26+H25+H24+H23+H22+H21+H20+H19+H18+H17+H16+H15+H14+H13+H12+H11++H9+H8)/$H$5</f>
        <v>0.43048753186805022</v>
      </c>
      <c r="K37" s="72" t="s">
        <v>178</v>
      </c>
      <c r="L37" s="72" t="s">
        <v>179</v>
      </c>
      <c r="M37" s="72" t="s">
        <v>33</v>
      </c>
    </row>
    <row r="38" spans="1:14" ht="15" customHeight="1" x14ac:dyDescent="0.25">
      <c r="B38" s="12" t="s">
        <v>108</v>
      </c>
      <c r="C38" s="12" t="s">
        <v>13</v>
      </c>
      <c r="D38" s="11">
        <v>5920.48</v>
      </c>
      <c r="E38" s="43">
        <f>($D$33+$D$36+$D$37+D38)/$D$5</f>
        <v>0.58619561804798215</v>
      </c>
      <c r="F38" s="9"/>
      <c r="G38" s="12" t="s">
        <v>77</v>
      </c>
      <c r="H38" s="11">
        <v>43491.24</v>
      </c>
      <c r="I38" s="43">
        <f>(H38+H37+H36+H35+H34+H33+H32+H31+H27+H26+H25+H24+H23+H22+H21+H20+H19+H18+H17+H16+H15+H14+H13+H12+H11+H10+H9+H8)/$H$5</f>
        <v>0.46957284100200403</v>
      </c>
      <c r="K38" s="73">
        <f>I28</f>
        <v>0.34429461322127369</v>
      </c>
      <c r="L38" s="73">
        <f>E33</f>
        <v>0.48121603701504395</v>
      </c>
      <c r="M38" s="73">
        <f>L38-K38</f>
        <v>0.13692142379377026</v>
      </c>
    </row>
    <row r="39" spans="1:14" ht="15" customHeight="1" x14ac:dyDescent="0.25">
      <c r="B39" s="12" t="s">
        <v>108</v>
      </c>
      <c r="C39" s="12" t="s">
        <v>12</v>
      </c>
      <c r="D39" s="11">
        <v>153.94</v>
      </c>
      <c r="E39" s="43">
        <f>($D$33+$D$36+$D$37+$D$38+$D39)/$D$5</f>
        <v>0.58709312559012972</v>
      </c>
      <c r="F39" s="9"/>
      <c r="G39" s="12" t="s">
        <v>76</v>
      </c>
      <c r="H39" s="11">
        <v>37230.879999999997</v>
      </c>
      <c r="I39" s="43">
        <f>(H39+H38+H37+H36+H35+H34+H33+H32+H31+H27+H26+H25+H24+H23+H22+H21+H20+H19+H18+H17+H16+H15+H14+H13+H12+H11+H10+H9+H8)/$H$5</f>
        <v>0.49064588420535149</v>
      </c>
      <c r="K39" s="71"/>
      <c r="L39" s="71"/>
      <c r="M39" s="71"/>
    </row>
    <row r="40" spans="1:14" ht="15" customHeight="1" x14ac:dyDescent="0.25">
      <c r="B40" s="12" t="s">
        <v>108</v>
      </c>
      <c r="C40" s="12" t="s">
        <v>11</v>
      </c>
      <c r="D40" s="11">
        <v>12620.62</v>
      </c>
      <c r="E40" s="43">
        <f>($D$33+$D$36+$D$37+$D$38+$D40+D39)/$D$5</f>
        <v>0.66067440164949209</v>
      </c>
      <c r="F40" s="9"/>
      <c r="G40" s="12" t="s">
        <v>75</v>
      </c>
      <c r="H40" s="12">
        <v>74360.39</v>
      </c>
      <c r="I40" s="43">
        <f>(H40+H39+H38+H37+H36+H35+H34+H33+H32+H31+H26+H27+H25+H24+H23+H22+H21+H20+H19+H18+H17+H16+H15+H14+H13+H12+H11+H10+H9+H8)/$H$5</f>
        <v>0.53273459419791047</v>
      </c>
      <c r="K40" s="72" t="s">
        <v>181</v>
      </c>
      <c r="L40" s="72" t="s">
        <v>180</v>
      </c>
      <c r="M40" s="72" t="s">
        <v>33</v>
      </c>
    </row>
    <row r="41" spans="1:14" ht="15" customHeight="1" x14ac:dyDescent="0.25">
      <c r="B41" s="12" t="s">
        <v>108</v>
      </c>
      <c r="C41" s="12" t="s">
        <v>10</v>
      </c>
      <c r="D41" s="11">
        <v>12823.12</v>
      </c>
      <c r="E41" s="43">
        <f>($D$33+$D$36+$D$37+$D$38+D39+$D41+D40)/$D$5</f>
        <v>0.73543630183049191</v>
      </c>
      <c r="F41" s="9"/>
      <c r="G41" s="12" t="s">
        <v>74</v>
      </c>
      <c r="H41" s="12">
        <v>36125.93</v>
      </c>
      <c r="I41" s="43">
        <f>(H41+H40+H39+H38+H37+H36+H35+H34+H33+H32+H31+H27+H26+H25+H24+H23+H22+H21+H20+H19+H18+H17+H16+H15+H14+H13+H12+H11+H10+H9+H8)/$H$5</f>
        <v>0.55318222486501012</v>
      </c>
      <c r="K41" s="73">
        <f>I28</f>
        <v>0.34429461322127369</v>
      </c>
      <c r="L41" s="73">
        <f>N25</f>
        <v>0.51405370272851503</v>
      </c>
      <c r="M41" s="73">
        <f>L41-K41</f>
        <v>0.16975908950724133</v>
      </c>
    </row>
    <row r="42" spans="1:14" ht="15" customHeight="1" x14ac:dyDescent="0.25">
      <c r="B42" s="12" t="s">
        <v>108</v>
      </c>
      <c r="C42" s="12" t="s">
        <v>9</v>
      </c>
      <c r="D42" s="11">
        <v>9161.2000000000007</v>
      </c>
      <c r="E42" s="43">
        <f>($D$33+$D$36+$D$37+$D$38+D39+D40+$D42+D41)/$D$5</f>
        <v>0.78884832011763084</v>
      </c>
      <c r="F42" s="9"/>
      <c r="G42" s="12" t="s">
        <v>73</v>
      </c>
      <c r="H42" s="12">
        <v>4156.66</v>
      </c>
      <c r="I42" s="43">
        <f>(H42+H41+H40+H39+H38+H37+H36+H35+H34+H33+H32+H31+H27+H26+H25+H24+H23+H22+H21+H20+H19+H18+H17+H16+H15+H14+H13+H12+H11+H10+H9+H8)/$H$5</f>
        <v>0.55553493518938668</v>
      </c>
    </row>
    <row r="43" spans="1:14" ht="15" customHeight="1" x14ac:dyDescent="0.25">
      <c r="B43" s="12" t="s">
        <v>108</v>
      </c>
      <c r="C43" s="12" t="s">
        <v>8</v>
      </c>
      <c r="D43" s="11">
        <v>1054.1099999999999</v>
      </c>
      <c r="E43" s="43">
        <f>($D$33+$D$36+$D$37+$D$38+D39+D40+D41+$D43+D42)/$D$5</f>
        <v>0.79499403711940519</v>
      </c>
      <c r="F43" s="9"/>
      <c r="G43" s="12" t="s">
        <v>72</v>
      </c>
      <c r="H43" s="12">
        <v>3490.61</v>
      </c>
      <c r="I43" s="43">
        <f>(H43+H42+H41+H40+H39+H38+H37+H36+H35+H34+H33+H32+H31+H27+H26+H25+H24+H23+H22+H21+H20+H19+H18+H17+H16+H15+H14+H13+H12+H11+H10+H9+H8)/$H$5</f>
        <v>0.55751065468180905</v>
      </c>
    </row>
    <row r="44" spans="1:14" ht="15" customHeight="1" x14ac:dyDescent="0.25">
      <c r="B44" s="56" t="s">
        <v>5</v>
      </c>
      <c r="C44" s="12" t="s">
        <v>7</v>
      </c>
      <c r="D44" s="11">
        <v>3674.44</v>
      </c>
      <c r="E44" s="43">
        <f>($D$33+$D$36+$D$37+$D$38+D39+D40+D41+D42+$D44+D43)/$D$5</f>
        <v>0.81641691365031754</v>
      </c>
      <c r="F44" s="9"/>
      <c r="G44" s="12" t="s">
        <v>71</v>
      </c>
      <c r="H44" s="12">
        <v>3152.7</v>
      </c>
      <c r="I44" s="43">
        <f>(H44+H43+H42+H41+H40+H39+H38+H37+H36+H35+H34+H33+H32+H31+H27+H26+H25+H24+H23+H22+H21+H20+H19+H18+H17+H16+H15+H14+H13+H12+H11+H10+H9+H8)/$H$5</f>
        <v>0.55929511380034691</v>
      </c>
    </row>
    <row r="45" spans="1:14" ht="15" customHeight="1" x14ac:dyDescent="0.25">
      <c r="B45" s="56" t="s">
        <v>5</v>
      </c>
      <c r="C45" s="12" t="s">
        <v>4</v>
      </c>
      <c r="D45" s="11">
        <v>1739.52</v>
      </c>
      <c r="E45" s="43">
        <f>($D$33+$D$36+$D$37+$D$38+D39+D40+D41+D42+D43+D44+$D45)/$D$5</f>
        <v>0.82655873721609974</v>
      </c>
      <c r="F45" s="9"/>
      <c r="G45" s="12" t="s">
        <v>70</v>
      </c>
      <c r="H45" s="12">
        <v>2611.58</v>
      </c>
      <c r="I45" s="43">
        <f>(H45+H44+H43+H42+H41+H40+H39+H38+H37+H36+H35+H34+H33+H32+H31+H27+H26+H25+H24+H23+H22+H21+H20+H19+H18+H17+H16+H15+H14+H13+H12+H11+H10+H9+H8)/$H$5</f>
        <v>0.56077329369211948</v>
      </c>
    </row>
    <row r="46" spans="1:14" ht="15" customHeight="1" x14ac:dyDescent="0.25">
      <c r="B46" s="56" t="s">
        <v>5</v>
      </c>
      <c r="C46" s="12" t="s">
        <v>3</v>
      </c>
      <c r="D46" s="11">
        <v>14141.21</v>
      </c>
      <c r="E46" s="43">
        <f>($D$33+$D$36+$D$37+$D$38+D39+D40+D41+D42+D43+D44+D45+$D46+D45)/$D$5</f>
        <v>0.91914724539986536</v>
      </c>
      <c r="F46" s="9"/>
      <c r="G46" s="12" t="s">
        <v>69</v>
      </c>
      <c r="H46" s="12">
        <v>4372.54</v>
      </c>
      <c r="I46" s="43">
        <f>(H46+H45+H44+H43+H42+H41+H40+H39+H38+H37+H36+H35+H34+H33+H32+H31+H27+H26+H25+H24+H23+H22+H21+H20+H19+H18+H17+H16+H15+H14+H13+H12+H11+H10+H9+H8)/$H$5</f>
        <v>0.56324819421363193</v>
      </c>
    </row>
    <row r="47" spans="1:14" x14ac:dyDescent="0.25">
      <c r="B47" s="56" t="s">
        <v>5</v>
      </c>
      <c r="C47" s="12" t="s">
        <v>2</v>
      </c>
      <c r="D47" s="11">
        <v>17020.439999999999</v>
      </c>
      <c r="E47" s="43">
        <f>($D$33+$D$36+$D$37+$D$38+D39+D40+D41+D42+D43+D44+D45+$D47+D46)/$D$5</f>
        <v>1.0082387157841279</v>
      </c>
      <c r="G47" s="12" t="s">
        <v>68</v>
      </c>
      <c r="H47" s="12">
        <v>26210.36</v>
      </c>
      <c r="I47" s="43">
        <f>(H47+H46+H45+H44+H43+H42+H41+H40+H39+H38+H37+H36+H35+H34+H33+H32+H31+H27+H26+H25+H24+H23+H22+H21+H20+H19+H18+H17+H16+H15+H14+H13+H12+H11+H10+H9+H8)/$H$5</f>
        <v>0.57808351501870803</v>
      </c>
    </row>
    <row r="48" spans="1:14" s="6" customFormat="1" x14ac:dyDescent="0.25">
      <c r="A48" s="21"/>
      <c r="B48" s="60"/>
      <c r="C48" s="8"/>
      <c r="D48" s="7"/>
      <c r="E48" s="34"/>
      <c r="G48" s="12" t="s">
        <v>67</v>
      </c>
      <c r="H48" s="12">
        <v>22576.62</v>
      </c>
      <c r="I48" s="43">
        <f>(H48+H47+H46+H45+H44+H43+H42+H41+H40+H39+H38+H37+H36+H35+H34+H33+H32+H31+H27+H26+H25+H24+H23+H22+H21+H20+H19+H18+H17+H16+H15+H14+H13+H12+H11+H10+H9+H8)/$H$5</f>
        <v>0.59086210334768541</v>
      </c>
      <c r="J48" s="1"/>
      <c r="K48" s="1"/>
      <c r="L48" s="1"/>
      <c r="M48" s="35"/>
      <c r="N48" s="1"/>
    </row>
    <row r="49" spans="1:14" x14ac:dyDescent="0.25">
      <c r="A49" s="6"/>
      <c r="C49" s="28"/>
      <c r="D49" s="29"/>
      <c r="E49" s="27"/>
      <c r="G49" s="12" t="s">
        <v>66</v>
      </c>
      <c r="H49" s="12">
        <v>13472.19</v>
      </c>
      <c r="I49" s="43">
        <f>(H49+H48+H47+H46+H45+H44+H43+H42+H41+H40+H39+H38+H37+H36+H35+H34+H33+H32+H31+H27+H26+H25+H24+H23+H22+H21+H20+H19+H18+H17+H16+H15+H14+H13+H12+H11+H10+H9+H8)/$H$5</f>
        <v>0.5984874950094915</v>
      </c>
      <c r="J49" s="6"/>
    </row>
    <row r="50" spans="1:14" x14ac:dyDescent="0.25">
      <c r="B50" s="21"/>
      <c r="G50" s="12" t="s">
        <v>65</v>
      </c>
      <c r="H50" s="12">
        <v>8128.69</v>
      </c>
      <c r="I50" s="43">
        <f>(H50+H49+H48+H47+H46+H45+H44+H43+H42+H41+H40+H39+H38+H37+H36+H35+H34+H33+H32+H31+H27+H26+H25+H24+H23+H22+H21+H20+H19+H18+H17+H16+H15+H14+H13+H12+H11+H10+H9+H8)/$H$5</f>
        <v>0.60308841326757778</v>
      </c>
      <c r="K50" s="6"/>
      <c r="L50" s="6"/>
      <c r="M50" s="6"/>
      <c r="N50" s="6"/>
    </row>
    <row r="51" spans="1:14" x14ac:dyDescent="0.25">
      <c r="G51" s="12" t="s">
        <v>64</v>
      </c>
      <c r="H51" s="12">
        <v>11804.32</v>
      </c>
      <c r="I51" s="43">
        <f>(H51+H50+H49+H48+H47+H46+H45+H44+H43+H42+H41+H40+H39+H38+H37+H36+H35+H34+H33+H32+H31+H27+H26+H25+H24+H23+H22+H21+H20+H19+H18+H17+H16+H15+H14+H13+H12+H11+H10+H9+H8)/$H$5</f>
        <v>0.60976977415257805</v>
      </c>
    </row>
    <row r="52" spans="1:14" x14ac:dyDescent="0.25">
      <c r="G52" s="12" t="s">
        <v>63</v>
      </c>
      <c r="H52" s="11">
        <v>9647.1</v>
      </c>
      <c r="I52" s="43">
        <f>(H52+H51+H50+H49+H48+H47+H46+H45+H44+H43+H42+H41+H40+H39+H38+H37+H36+H35+H34+H33+H32+H31+H27+H26+H25+H24+H23+H22+H21+H20+H19+H18+H17+H16+H15+H14+H13+H12+H11+H10+H9+H8)/$H$5</f>
        <v>0.61523012736171545</v>
      </c>
    </row>
    <row r="53" spans="1:14" x14ac:dyDescent="0.25">
      <c r="G53" s="11" t="s">
        <v>62</v>
      </c>
      <c r="H53" s="11">
        <v>30591.200000000001</v>
      </c>
      <c r="I53" s="43">
        <f>(H53+H52+H51+H50+H49+H48+H47+H46+H45+H44+H43+H42+H41+H40+H39+H38+H37+H36+H35+H34+H33+H32+H31+H27+H26+H25+H24+H23+H22+H21+H20+H19+H18+H17+H16+H15+H14+H13+H12+H11+H10+H9+H8)/$H$5</f>
        <v>0.63254504656970201</v>
      </c>
      <c r="J53" s="3"/>
    </row>
    <row r="54" spans="1:14" outlineLevel="1" x14ac:dyDescent="0.25">
      <c r="G54" s="12" t="s">
        <v>61</v>
      </c>
      <c r="H54" s="11">
        <v>29640.58</v>
      </c>
      <c r="I54" s="43">
        <f>(H54+H53+H52+H51+H50+H49+H48+H47+H46+H45+H44+H43+H42+H41+H40+H39+H38+H37+H36+H35+H34+H33+H32+H31+H27+H26+H25+H24+H23+H22+H21+H20+H19+H18+H17+H16+H15+H14+H13+H12+H11+H10+H9+H8)/$H$5</f>
        <v>0.64932190553495539</v>
      </c>
    </row>
    <row r="55" spans="1:14" outlineLevel="1" x14ac:dyDescent="0.25">
      <c r="G55" s="12" t="s">
        <v>60</v>
      </c>
      <c r="H55" s="11">
        <v>38264.68</v>
      </c>
      <c r="I55" s="43">
        <f>(H55+H54+H53+H52+H51+H50+H49+H48+H47+H46+H45+H44+H43+H42+H41+H40+H39+H38+H37+H36+H35+H34+H33+H32+H31+H27+H26+H25+H24+H23+H22+H21+H20+H19+H18+H17+H16+H15+H14+H13+H12+H11+H10+H9+H8)/$H$5</f>
        <v>0.67098008967678235</v>
      </c>
    </row>
    <row r="56" spans="1:14" outlineLevel="1" x14ac:dyDescent="0.25">
      <c r="G56" s="12" t="s">
        <v>59</v>
      </c>
      <c r="H56" s="11">
        <v>36594</v>
      </c>
      <c r="I56" s="43">
        <f>(H56+H55+H54+H53+H52+H51+H50+H49+H48+H47+H46+H45+H44+H43+H42+H41+H40+H39+H38+H37+H36+H35+H34+H33+H32+H31+H27+H26+H25+H24+H23+H22+H21+H20+H19+H18+H17+H16+H15+H14+H13+H12+H11+H10+H9+H8)/$H$5</f>
        <v>0.69169265255424606</v>
      </c>
    </row>
    <row r="57" spans="1:14" outlineLevel="1" x14ac:dyDescent="0.25">
      <c r="G57" s="13" t="s">
        <v>58</v>
      </c>
      <c r="H57" s="2">
        <v>6405.57</v>
      </c>
      <c r="I57" s="41">
        <f>(H57+H56+H55+H54+H53+H52+H51+H50+H49+H48+H47+H46+H45+H44+H43+H42+H41+H40+H39+H38+H37+H36+H35+H34+H33+H32+H31+H27+H26+H25+H24+H23+H22+H21+H20+H19+H18+H17+H16+H15+H14+H13+H12+H11+H10+H9+H8)/$H$5</f>
        <v>0.69531826799368945</v>
      </c>
    </row>
    <row r="58" spans="1:14" outlineLevel="1" x14ac:dyDescent="0.25">
      <c r="G58" s="13" t="s">
        <v>56</v>
      </c>
      <c r="H58" s="2">
        <v>492.8</v>
      </c>
      <c r="I58" s="41">
        <f>(H58+H57+H56+H55+H54+H53+H52+H51+H50+H49+H48+H47+H46+H45+H44+H43+H42+H41+H40+H39+H38+H37+H36+H35+H34+H33+H32+H31+H27+H26+H25+H24+H23+H22+H21+H20+H19+H18+H17+H16+H15+H14+H13+H12+H11+H10+H9+H8)/$H$5</f>
        <v>0.69559719762658045</v>
      </c>
    </row>
    <row r="59" spans="1:14" outlineLevel="1" x14ac:dyDescent="0.25">
      <c r="G59" s="13" t="s">
        <v>55</v>
      </c>
      <c r="H59" s="2">
        <v>26061.58</v>
      </c>
      <c r="I59" s="41">
        <f>(H59+H58+H57+H56+H55+H54+H53+H52+H51+H50+H49+H48+H47+H46+H45+H44+H43+H42+H41+H40+H39+H38+H37+H36+H35+H34+H33+H32+H31+H27+H26+H25+H24+H23+H22+H21+H20+H19+H18+H17+H16+H15+H14+H13+H12+H11+H10+H9+H8)/$H$5</f>
        <v>0.71034830749257061</v>
      </c>
    </row>
    <row r="60" spans="1:14" outlineLevel="1" x14ac:dyDescent="0.25"/>
    <row r="61" spans="1:14" outlineLevel="1" x14ac:dyDescent="0.25">
      <c r="G61" s="10" t="s">
        <v>132</v>
      </c>
      <c r="H61" s="10" t="s">
        <v>52</v>
      </c>
      <c r="I61" s="44" t="s">
        <v>110</v>
      </c>
    </row>
    <row r="62" spans="1:14" outlineLevel="1" x14ac:dyDescent="0.25">
      <c r="G62" s="13" t="s">
        <v>133</v>
      </c>
      <c r="H62" s="13">
        <v>114828.7</v>
      </c>
      <c r="I62" s="50"/>
    </row>
    <row r="63" spans="1:14" outlineLevel="1" x14ac:dyDescent="0.25">
      <c r="G63" s="13" t="s">
        <v>134</v>
      </c>
      <c r="H63" s="13">
        <v>101625.42</v>
      </c>
      <c r="I63" s="50"/>
    </row>
    <row r="64" spans="1:14" outlineLevel="1" x14ac:dyDescent="0.25">
      <c r="G64" s="13" t="s">
        <v>135</v>
      </c>
      <c r="H64" s="13">
        <v>295288.92</v>
      </c>
      <c r="I64" s="39"/>
    </row>
    <row r="65" spans="8:9" outlineLevel="1" x14ac:dyDescent="0.25">
      <c r="H65" s="4"/>
      <c r="I65" s="20"/>
    </row>
    <row r="66" spans="8:9" outlineLevel="1" x14ac:dyDescent="0.25">
      <c r="I66" s="20"/>
    </row>
    <row r="67" spans="8:9" outlineLevel="1" x14ac:dyDescent="0.25">
      <c r="I67" s="20"/>
    </row>
    <row r="68" spans="8:9" outlineLevel="1" x14ac:dyDescent="0.25">
      <c r="I68" s="20"/>
    </row>
    <row r="69" spans="8:9" outlineLevel="1" x14ac:dyDescent="0.25"/>
    <row r="70" spans="8:9" outlineLevel="1" x14ac:dyDescent="0.25"/>
  </sheetData>
  <mergeCells count="6">
    <mergeCell ref="K35:M35"/>
    <mergeCell ref="K25:L25"/>
    <mergeCell ref="C2:M2"/>
    <mergeCell ref="G28:H28"/>
    <mergeCell ref="K4:L4"/>
    <mergeCell ref="C4:D4"/>
  </mergeCells>
  <pageMargins left="0.7" right="0.7" top="0.75" bottom="0.75" header="0.3" footer="0.3"/>
  <pageSetup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Calculo AV, equip. obligatoria</vt:lpstr>
      <vt:lpstr>Proporción Vialidad, AV,Equip</vt:lpstr>
      <vt:lpstr>'Calculo AV, equip. obligatoria'!Área_de_impresión</vt:lpstr>
      <vt:lpstr>'Proporción Vialidad, AV,Equip'!Área_de_impresión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JEANETTE DEL CARMEN WEBER LUNA</dc:creator>
  <cp:lastModifiedBy>IRIS ANDREA REYGADAS  ARIAS</cp:lastModifiedBy>
  <dcterms:created xsi:type="dcterms:W3CDTF">2020-12-28T11:41:10Z</dcterms:created>
  <dcterms:modified xsi:type="dcterms:W3CDTF">2021-03-03T22:01:06Z</dcterms:modified>
</cp:coreProperties>
</file>